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0115" windowHeight="7500"/>
  </bookViews>
  <sheets>
    <sheet name="Analysis" sheetId="4" r:id="rId1"/>
    <sheet name="Calculations" sheetId="3" r:id="rId2"/>
  </sheets>
  <calcPr calcId="125725"/>
</workbook>
</file>

<file path=xl/calcChain.xml><?xml version="1.0" encoding="utf-8"?>
<calcChain xmlns="http://schemas.openxmlformats.org/spreadsheetml/2006/main">
  <c r="L12" i="3"/>
  <c r="L19" l="1"/>
  <c r="L20"/>
  <c r="L21"/>
  <c r="N7"/>
  <c r="M15" i="4"/>
  <c r="O13" i="3"/>
  <c r="M16" i="4" s="1"/>
  <c r="O12" i="3"/>
  <c r="M17" i="4" s="1"/>
  <c r="O11" i="3"/>
  <c r="L15"/>
  <c r="L14"/>
  <c r="L13"/>
  <c r="L7"/>
  <c r="F11"/>
  <c r="D12"/>
  <c r="C11"/>
  <c r="F8"/>
  <c r="D9"/>
  <c r="C8"/>
  <c r="E6"/>
  <c r="E9" s="1"/>
  <c r="E12" s="1"/>
  <c r="D6"/>
  <c r="C6"/>
  <c r="H4" i="4"/>
  <c r="G21" i="3"/>
  <c r="G19"/>
  <c r="G17"/>
  <c r="G23" s="1"/>
  <c r="O14" l="1"/>
  <c r="O16" s="1"/>
  <c r="M16"/>
  <c r="M22"/>
  <c r="G2"/>
  <c r="G4"/>
  <c r="L24"/>
  <c r="N3"/>
  <c r="O8" i="4" s="1"/>
  <c r="O22" s="1"/>
  <c r="N5" i="3"/>
  <c r="M19" i="4"/>
  <c r="G8" i="3"/>
  <c r="E2"/>
  <c r="G11"/>
  <c r="G12"/>
  <c r="G6"/>
  <c r="G9"/>
  <c r="M4" i="4" l="1"/>
  <c r="P11"/>
  <c r="P25"/>
  <c r="M5"/>
  <c r="M6"/>
  <c r="P8"/>
  <c r="P22" s="1"/>
  <c r="G14" i="3"/>
  <c r="G25" s="1"/>
  <c r="P3" s="1"/>
  <c r="M8" i="4" l="1"/>
  <c r="P5" i="3"/>
  <c r="O9" i="4" l="1"/>
  <c r="M22"/>
  <c r="P9"/>
  <c r="O23" l="1"/>
  <c r="P23"/>
</calcChain>
</file>

<file path=xl/sharedStrings.xml><?xml version="1.0" encoding="utf-8"?>
<sst xmlns="http://schemas.openxmlformats.org/spreadsheetml/2006/main" count="114" uniqueCount="77">
  <si>
    <t>Groceries</t>
  </si>
  <si>
    <t>Monthly Cost</t>
  </si>
  <si>
    <t>Direct Medical Costs</t>
  </si>
  <si>
    <t>Lower Wages</t>
  </si>
  <si>
    <t>Woman with 40+ Pounds to Lose</t>
  </si>
  <si>
    <t>Annual Costs</t>
  </si>
  <si>
    <t>Monthly Costs</t>
  </si>
  <si>
    <t>Natl Ave</t>
  </si>
  <si>
    <t>Westchester Adjustment</t>
  </si>
  <si>
    <t>Utilities</t>
  </si>
  <si>
    <t>Travel / Shopping</t>
  </si>
  <si>
    <t>Times/Wk</t>
  </si>
  <si>
    <t>Cost/Mile</t>
  </si>
  <si>
    <t>Miles 1 Way</t>
  </si>
  <si>
    <t>Restaurants</t>
  </si>
  <si>
    <t>$ / Meal</t>
  </si>
  <si>
    <t>Lunch Take Out</t>
  </si>
  <si>
    <t>less Meals Out</t>
  </si>
  <si>
    <t>Subtotal</t>
  </si>
  <si>
    <t>Direct Medical</t>
  </si>
  <si>
    <t>Annual</t>
  </si>
  <si>
    <t>Clothing</t>
  </si>
  <si>
    <t>Total Monthly Cost</t>
  </si>
  <si>
    <t>Lower Wages**</t>
  </si>
  <si>
    <t>Direct Medical*</t>
  </si>
  <si>
    <t>* Many studies have been done on the health care costs of being overweight. Since these figures are well below the deductible for an HSA,  we attribute them entirely to the patient.</t>
  </si>
  <si>
    <t>** The data suggesting lower wages is stronger for women than men. But the data strongly supports increases in absenteeism and lower productivity and employers are generally aware of this.</t>
  </si>
  <si>
    <t>Current Plan</t>
  </si>
  <si>
    <t>Meal Delivery Plan</t>
  </si>
  <si>
    <t>Vegan</t>
  </si>
  <si>
    <t>Flexitarian</t>
  </si>
  <si>
    <t>Breakfast</t>
  </si>
  <si>
    <t>Daily Cost</t>
  </si>
  <si>
    <t>Savings</t>
  </si>
  <si>
    <t>Input Your Situation</t>
  </si>
  <si>
    <t>How much do you spend on groceries?</t>
  </si>
  <si>
    <t>How much are your utilities for cooking?</t>
  </si>
  <si>
    <t>How far away is the grocery store?</t>
  </si>
  <si>
    <t>What is your cost / mile driven (IRS suggests &gt; $0.50)</t>
  </si>
  <si>
    <t>How many times / week do you eat at restaurants?</t>
  </si>
  <si>
    <t>How often do you go food shopping / week?</t>
  </si>
  <si>
    <t>How far away is the restaurant?</t>
  </si>
  <si>
    <t>How many times / week do you get take out for lunch at work?</t>
  </si>
  <si>
    <t>What is the average cost including tip?</t>
  </si>
  <si>
    <t>How much do you spend a YEAR on clothing due to size changes</t>
  </si>
  <si>
    <t>or trouble finding your size?</t>
  </si>
  <si>
    <t>Travel for food</t>
  </si>
  <si>
    <t>Groceries &amp; Utilities</t>
  </si>
  <si>
    <t>Total Food Cost:</t>
  </si>
  <si>
    <t>Travel</t>
  </si>
  <si>
    <t>Current Meal Plan</t>
  </si>
  <si>
    <t>New Meal Plan</t>
  </si>
  <si>
    <t>2 Meal / Day</t>
  </si>
  <si>
    <t>Cost</t>
  </si>
  <si>
    <t>How much time at takeout (each time)?</t>
  </si>
  <si>
    <t>How much time at restaurants  (each time)?</t>
  </si>
  <si>
    <t>How much time cooking  (each time)?</t>
  </si>
  <si>
    <t>How much time do you spend shopping  (each time)?</t>
  </si>
  <si>
    <t>minutes</t>
  </si>
  <si>
    <t>Shopping</t>
  </si>
  <si>
    <t>Cooking</t>
  </si>
  <si>
    <t>Take out</t>
  </si>
  <si>
    <t>Hours Saved / Month</t>
  </si>
  <si>
    <t>Cost of being overweight</t>
  </si>
  <si>
    <t>Lost Wages</t>
  </si>
  <si>
    <t>Total Cost</t>
  </si>
  <si>
    <t>Complete Cost:</t>
  </si>
  <si>
    <t>If you purchased breakfast only (Yogurt, oatmeal &amp; fruit),</t>
  </si>
  <si>
    <t>how much would each breakfast cost?</t>
  </si>
  <si>
    <t>How many times would you need to shop / week?</t>
  </si>
  <si>
    <t>New meal delivery plan</t>
  </si>
  <si>
    <t>times / week</t>
  </si>
  <si>
    <t>miles 1 way</t>
  </si>
  <si>
    <t>New: Time (hours) spent / month</t>
  </si>
  <si>
    <t>Old: Time (hours) spent / month</t>
  </si>
  <si>
    <t>Meal Delivery</t>
  </si>
  <si>
    <t>For assumptions &amp; explanation, see http://weightlosswestchesterny.com/weightlossblog/</t>
  </si>
</sst>
</file>

<file path=xl/styles.xml><?xml version="1.0" encoding="utf-8"?>
<styleSheet xmlns="http://schemas.openxmlformats.org/spreadsheetml/2006/main">
  <numFmts count="2">
    <numFmt numFmtId="164" formatCode="&quot;$&quot;#,##0"/>
    <numFmt numFmtId="165" formatCode="&quot;$&quot;#,##0.00"/>
  </numFmts>
  <fonts count="4">
    <font>
      <sz val="11"/>
      <color theme="1"/>
      <name val="Calibri"/>
      <family val="2"/>
      <scheme val="minor"/>
    </font>
    <font>
      <sz val="11"/>
      <color rgb="FFFF0000"/>
      <name val="Calibri"/>
      <family val="2"/>
      <scheme val="minor"/>
    </font>
    <font>
      <u/>
      <sz val="11"/>
      <color theme="1"/>
      <name val="Calibri"/>
      <family val="2"/>
      <scheme val="minor"/>
    </font>
    <font>
      <b/>
      <sz val="2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3" fontId="0" fillId="0" borderId="0" xfId="0" applyNumberFormat="1"/>
    <xf numFmtId="164" fontId="0" fillId="0" borderId="0" xfId="0" applyNumberFormat="1"/>
    <xf numFmtId="3" fontId="2" fillId="0" borderId="0" xfId="0" applyNumberFormat="1" applyFont="1"/>
    <xf numFmtId="0" fontId="0" fillId="2" borderId="0" xfId="0" applyFill="1"/>
    <xf numFmtId="3" fontId="0" fillId="2" borderId="0" xfId="0" applyNumberFormat="1" applyFill="1"/>
    <xf numFmtId="0" fontId="1" fillId="0" borderId="0" xfId="0" applyFont="1"/>
    <xf numFmtId="0" fontId="0" fillId="3" borderId="0" xfId="0" applyFill="1"/>
    <xf numFmtId="3" fontId="0" fillId="3" borderId="0" xfId="0" applyNumberFormat="1" applyFill="1"/>
    <xf numFmtId="0" fontId="0" fillId="0" borderId="1" xfId="0" applyBorder="1"/>
    <xf numFmtId="3" fontId="0" fillId="0" borderId="2" xfId="0" applyNumberFormat="1" applyBorder="1"/>
    <xf numFmtId="3" fontId="0" fillId="3" borderId="2" xfId="0" applyNumberFormat="1" applyFill="1" applyBorder="1"/>
    <xf numFmtId="3" fontId="0" fillId="3" borderId="3" xfId="0" applyNumberFormat="1" applyFill="1" applyBorder="1"/>
    <xf numFmtId="0" fontId="0" fillId="4" borderId="0" xfId="0" applyFill="1"/>
    <xf numFmtId="0" fontId="0" fillId="0" borderId="4" xfId="0" applyBorder="1"/>
    <xf numFmtId="0" fontId="0" fillId="0" borderId="5" xfId="0" applyBorder="1"/>
    <xf numFmtId="3" fontId="0" fillId="3" borderId="6" xfId="0" applyNumberFormat="1" applyFill="1" applyBorder="1"/>
    <xf numFmtId="4" fontId="0" fillId="2" borderId="0" xfId="0" applyNumberFormat="1" applyFill="1"/>
    <xf numFmtId="4" fontId="0" fillId="0" borderId="0" xfId="0" applyNumberFormat="1"/>
    <xf numFmtId="0" fontId="0" fillId="5" borderId="0" xfId="0" applyFill="1"/>
    <xf numFmtId="0" fontId="0" fillId="0" borderId="0" xfId="0" applyFill="1"/>
    <xf numFmtId="4" fontId="0" fillId="3" borderId="0" xfId="0" applyNumberFormat="1" applyFill="1"/>
    <xf numFmtId="0" fontId="0" fillId="6" borderId="0" xfId="0" applyFill="1"/>
    <xf numFmtId="4" fontId="0" fillId="6" borderId="0" xfId="0" applyNumberFormat="1" applyFill="1"/>
    <xf numFmtId="0" fontId="0" fillId="0" borderId="0" xfId="0" applyAlignment="1">
      <alignment horizontal="right"/>
    </xf>
    <xf numFmtId="165" fontId="0" fillId="2" borderId="0" xfId="0" applyNumberFormat="1" applyFill="1"/>
    <xf numFmtId="0" fontId="3" fillId="5" borderId="0" xfId="0" applyFont="1" applyFill="1"/>
    <xf numFmtId="4" fontId="0" fillId="5" borderId="0" xfId="0" applyNumberForma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25"/>
  <sheetViews>
    <sheetView tabSelected="1" workbookViewId="0">
      <selection activeCell="E6" sqref="E6"/>
    </sheetView>
  </sheetViews>
  <sheetFormatPr defaultRowHeight="15"/>
  <cols>
    <col min="7" max="7" width="15.85546875" customWidth="1"/>
    <col min="8" max="8" width="18.85546875" style="4" bestFit="1" customWidth="1"/>
    <col min="9" max="9" width="12.5703125" bestFit="1" customWidth="1"/>
    <col min="13" max="13" width="9.140625" style="18"/>
    <col min="15" max="17" width="9.140625" style="18"/>
  </cols>
  <sheetData>
    <row r="1" spans="1:18" ht="29.25" customHeight="1">
      <c r="A1" s="26" t="s">
        <v>76</v>
      </c>
      <c r="B1" s="19"/>
      <c r="C1" s="19"/>
      <c r="D1" s="19"/>
      <c r="E1" s="19"/>
      <c r="F1" s="19"/>
      <c r="G1" s="19"/>
      <c r="H1" s="19"/>
      <c r="I1" s="19"/>
      <c r="J1" s="19"/>
      <c r="K1" s="19"/>
      <c r="L1" s="19"/>
      <c r="M1" s="27"/>
      <c r="N1" s="19"/>
      <c r="O1" s="27"/>
      <c r="P1" s="27"/>
      <c r="Q1" s="27"/>
      <c r="R1" s="19"/>
    </row>
    <row r="2" spans="1:18">
      <c r="A2" t="s">
        <v>34</v>
      </c>
      <c r="H2" t="s">
        <v>34</v>
      </c>
      <c r="K2" t="s">
        <v>50</v>
      </c>
      <c r="O2" s="18" t="s">
        <v>51</v>
      </c>
    </row>
    <row r="3" spans="1:18">
      <c r="A3" s="13" t="s">
        <v>27</v>
      </c>
      <c r="B3" s="13"/>
      <c r="C3" s="13"/>
      <c r="D3" s="13"/>
      <c r="E3" s="13"/>
      <c r="F3" s="13"/>
      <c r="M3" s="18" t="s">
        <v>1</v>
      </c>
    </row>
    <row r="4" spans="1:18">
      <c r="B4" t="s">
        <v>35</v>
      </c>
      <c r="G4" s="24"/>
      <c r="H4" s="25">
        <f>303*1.196</f>
        <v>362.38799999999998</v>
      </c>
      <c r="K4" t="s">
        <v>47</v>
      </c>
      <c r="M4" s="18">
        <f>Calculations!G2+Calculations!G4</f>
        <v>254.92533333333333</v>
      </c>
    </row>
    <row r="5" spans="1:18">
      <c r="B5" t="s">
        <v>36</v>
      </c>
      <c r="G5" s="24"/>
      <c r="H5" s="25">
        <v>20</v>
      </c>
      <c r="K5" t="s">
        <v>14</v>
      </c>
      <c r="M5" s="18">
        <f>Calculations!G8+Calculations!G11</f>
        <v>281.66666666666663</v>
      </c>
    </row>
    <row r="6" spans="1:18">
      <c r="B6" t="s">
        <v>40</v>
      </c>
      <c r="H6" s="17">
        <v>2</v>
      </c>
      <c r="I6" t="s">
        <v>71</v>
      </c>
      <c r="K6" t="s">
        <v>46</v>
      </c>
      <c r="M6" s="18">
        <f>Calculations!G6+Calculations!G9+Calculations!G12</f>
        <v>52</v>
      </c>
    </row>
    <row r="7" spans="1:18">
      <c r="B7" t="s">
        <v>37</v>
      </c>
      <c r="H7" s="17">
        <v>3</v>
      </c>
      <c r="I7" t="s">
        <v>72</v>
      </c>
      <c r="O7" s="18" t="s">
        <v>29</v>
      </c>
      <c r="P7" s="18" t="s">
        <v>30</v>
      </c>
    </row>
    <row r="8" spans="1:18">
      <c r="B8" t="s">
        <v>38</v>
      </c>
      <c r="G8" s="24"/>
      <c r="H8" s="25">
        <v>0.5</v>
      </c>
      <c r="K8" t="s">
        <v>48</v>
      </c>
      <c r="M8" s="18">
        <f>SUM(M4:M7)</f>
        <v>588.59199999999998</v>
      </c>
      <c r="O8" s="18">
        <f>Calculations!N3</f>
        <v>773.41666666666663</v>
      </c>
      <c r="P8" s="18">
        <f>Calculations!N5</f>
        <v>955.91666666666663</v>
      </c>
      <c r="Q8" s="18" t="s">
        <v>52</v>
      </c>
    </row>
    <row r="9" spans="1:18">
      <c r="B9" t="s">
        <v>39</v>
      </c>
      <c r="H9" s="17">
        <v>2</v>
      </c>
      <c r="I9" t="s">
        <v>71</v>
      </c>
      <c r="N9" s="22" t="s">
        <v>53</v>
      </c>
      <c r="O9" s="23">
        <f>O8-M8</f>
        <v>184.82466666666664</v>
      </c>
      <c r="P9" s="23">
        <f>P8-M8</f>
        <v>367.32466666666664</v>
      </c>
    </row>
    <row r="10" spans="1:18">
      <c r="B10" t="s">
        <v>43</v>
      </c>
      <c r="G10" s="24"/>
      <c r="H10" s="25">
        <v>15</v>
      </c>
    </row>
    <row r="11" spans="1:18">
      <c r="B11" t="s">
        <v>41</v>
      </c>
      <c r="H11" s="17">
        <v>3</v>
      </c>
      <c r="I11" t="s">
        <v>72</v>
      </c>
      <c r="M11" s="22" t="s">
        <v>62</v>
      </c>
      <c r="N11" s="23"/>
      <c r="O11" s="23"/>
      <c r="P11" s="23">
        <f>Calculations!L$24</f>
        <v>20.727777777777774</v>
      </c>
    </row>
    <row r="12" spans="1:18">
      <c r="B12" t="s">
        <v>42</v>
      </c>
      <c r="H12" s="17">
        <v>5</v>
      </c>
      <c r="I12" t="s">
        <v>71</v>
      </c>
    </row>
    <row r="13" spans="1:18">
      <c r="B13" t="s">
        <v>43</v>
      </c>
      <c r="G13" s="24"/>
      <c r="H13" s="25">
        <v>7</v>
      </c>
      <c r="K13" t="s">
        <v>63</v>
      </c>
    </row>
    <row r="14" spans="1:18">
      <c r="B14" t="s">
        <v>41</v>
      </c>
      <c r="H14" s="17">
        <v>0</v>
      </c>
      <c r="I14" t="s">
        <v>72</v>
      </c>
      <c r="M14" s="18" t="s">
        <v>1</v>
      </c>
    </row>
    <row r="15" spans="1:18">
      <c r="B15" t="s">
        <v>44</v>
      </c>
      <c r="H15" s="17"/>
      <c r="K15" t="s">
        <v>19</v>
      </c>
      <c r="M15" s="18">
        <f>Calculations!O11</f>
        <v>122.83333333333333</v>
      </c>
    </row>
    <row r="16" spans="1:18">
      <c r="B16" t="s">
        <v>45</v>
      </c>
      <c r="G16" s="24"/>
      <c r="H16" s="25">
        <v>300</v>
      </c>
      <c r="K16" t="s">
        <v>64</v>
      </c>
      <c r="M16" s="18">
        <f>Calculations!O13</f>
        <v>154.58333333333334</v>
      </c>
    </row>
    <row r="17" spans="1:16">
      <c r="B17" t="s">
        <v>57</v>
      </c>
      <c r="H17" s="4">
        <v>45</v>
      </c>
      <c r="I17" t="s">
        <v>58</v>
      </c>
      <c r="K17" t="s">
        <v>21</v>
      </c>
      <c r="M17" s="18">
        <f>Calculations!O12</f>
        <v>25</v>
      </c>
    </row>
    <row r="18" spans="1:16">
      <c r="B18" t="s">
        <v>56</v>
      </c>
      <c r="H18" s="4">
        <v>15</v>
      </c>
      <c r="I18" t="s">
        <v>58</v>
      </c>
    </row>
    <row r="19" spans="1:16">
      <c r="B19" t="s">
        <v>55</v>
      </c>
      <c r="H19" s="4">
        <v>45</v>
      </c>
      <c r="I19" t="s">
        <v>58</v>
      </c>
      <c r="K19" t="s">
        <v>65</v>
      </c>
      <c r="M19" s="18">
        <f>SUM(M15:M17)</f>
        <v>302.41666666666669</v>
      </c>
    </row>
    <row r="20" spans="1:16">
      <c r="B20" t="s">
        <v>54</v>
      </c>
      <c r="H20" s="4">
        <v>15</v>
      </c>
      <c r="I20" t="s">
        <v>58</v>
      </c>
    </row>
    <row r="21" spans="1:16">
      <c r="A21" s="13" t="s">
        <v>70</v>
      </c>
      <c r="B21" s="13"/>
      <c r="C21" s="13"/>
      <c r="D21" s="13"/>
      <c r="E21" s="13"/>
      <c r="F21" s="13"/>
      <c r="O21" s="18" t="s">
        <v>29</v>
      </c>
      <c r="P21" s="18" t="s">
        <v>30</v>
      </c>
    </row>
    <row r="22" spans="1:16">
      <c r="B22" t="s">
        <v>67</v>
      </c>
      <c r="K22" t="s">
        <v>66</v>
      </c>
      <c r="M22" s="18">
        <f>M8+M19</f>
        <v>891.00866666666661</v>
      </c>
      <c r="O22" s="18">
        <f>O8</f>
        <v>773.41666666666663</v>
      </c>
      <c r="P22" s="18">
        <f>P8</f>
        <v>955.91666666666663</v>
      </c>
    </row>
    <row r="23" spans="1:16">
      <c r="B23" t="s">
        <v>68</v>
      </c>
      <c r="G23" s="24"/>
      <c r="H23" s="25">
        <v>3</v>
      </c>
      <c r="N23" s="7" t="s">
        <v>53</v>
      </c>
      <c r="O23" s="21">
        <f>O22-M22</f>
        <v>-117.59199999999998</v>
      </c>
      <c r="P23" s="21">
        <f>P22-M22</f>
        <v>64.908000000000015</v>
      </c>
    </row>
    <row r="24" spans="1:16">
      <c r="B24" t="s">
        <v>69</v>
      </c>
      <c r="H24" s="4">
        <v>1</v>
      </c>
      <c r="I24" t="s">
        <v>71</v>
      </c>
    </row>
    <row r="25" spans="1:16">
      <c r="M25" s="7" t="s">
        <v>62</v>
      </c>
      <c r="N25" s="21"/>
      <c r="O25" s="21"/>
      <c r="P25" s="21">
        <f>Calculations!L$24</f>
        <v>20.727777777777774</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27"/>
  <sheetViews>
    <sheetView workbookViewId="0">
      <selection activeCell="E6" sqref="E6"/>
    </sheetView>
  </sheetViews>
  <sheetFormatPr defaultRowHeight="15"/>
  <cols>
    <col min="2" max="2" width="16.5703125" bestFit="1" customWidth="1"/>
    <col min="3" max="3" width="10" bestFit="1" customWidth="1"/>
    <col min="4" max="4" width="23.42578125" bestFit="1" customWidth="1"/>
    <col min="5" max="5" width="9.7109375" bestFit="1" customWidth="1"/>
    <col min="7" max="7" width="9.140625" style="1"/>
    <col min="11" max="11" width="9.7109375" customWidth="1"/>
    <col min="14" max="14" width="19.140625" bestFit="1" customWidth="1"/>
  </cols>
  <sheetData>
    <row r="1" spans="1:16">
      <c r="A1" s="6" t="s">
        <v>27</v>
      </c>
      <c r="C1" t="s">
        <v>7</v>
      </c>
      <c r="D1" t="s">
        <v>8</v>
      </c>
      <c r="E1" t="s">
        <v>17</v>
      </c>
      <c r="G1" s="1" t="s">
        <v>1</v>
      </c>
      <c r="I1" s="6" t="s">
        <v>28</v>
      </c>
      <c r="L1" t="s">
        <v>32</v>
      </c>
      <c r="N1" t="s">
        <v>1</v>
      </c>
      <c r="P1" s="9" t="s">
        <v>33</v>
      </c>
    </row>
    <row r="2" spans="1:16">
      <c r="B2" t="s">
        <v>0</v>
      </c>
      <c r="C2" s="4">
        <v>303</v>
      </c>
      <c r="D2" s="4">
        <v>1.196</v>
      </c>
      <c r="E2" s="7">
        <f>C8+C11</f>
        <v>7</v>
      </c>
      <c r="G2" s="8">
        <f>C2*D2*((21-C8-C11)/21)</f>
        <v>241.59199999999998</v>
      </c>
      <c r="J2" s="1"/>
      <c r="K2" s="1"/>
      <c r="L2" s="1"/>
      <c r="M2" s="1"/>
      <c r="N2" s="1"/>
      <c r="O2" s="1"/>
      <c r="P2" s="10"/>
    </row>
    <row r="3" spans="1:16">
      <c r="G3" s="8"/>
      <c r="J3" s="1" t="s">
        <v>29</v>
      </c>
      <c r="K3" s="1"/>
      <c r="L3" s="5">
        <v>22</v>
      </c>
      <c r="M3" s="1"/>
      <c r="N3" s="8">
        <f>(L3+L$7)*365/12+N7</f>
        <v>773.41666666666663</v>
      </c>
      <c r="O3" s="1"/>
      <c r="P3" s="11">
        <f>G25-N3</f>
        <v>117.59199999999998</v>
      </c>
    </row>
    <row r="4" spans="1:16">
      <c r="B4" t="s">
        <v>9</v>
      </c>
      <c r="G4" s="8">
        <f>Analysis!H5*((21-C8-C11)/21)</f>
        <v>13.333333333333332</v>
      </c>
      <c r="J4" s="1"/>
      <c r="K4" s="1"/>
      <c r="L4" s="1"/>
      <c r="M4" s="1"/>
      <c r="N4" s="8"/>
      <c r="O4" s="1"/>
      <c r="P4" s="11"/>
    </row>
    <row r="5" spans="1:16" ht="15.75" thickBot="1">
      <c r="C5" t="s">
        <v>11</v>
      </c>
      <c r="D5" t="s">
        <v>13</v>
      </c>
      <c r="E5" t="s">
        <v>12</v>
      </c>
      <c r="G5" s="8"/>
      <c r="J5" s="1" t="s">
        <v>30</v>
      </c>
      <c r="K5" s="1"/>
      <c r="L5" s="5">
        <v>28</v>
      </c>
      <c r="M5" s="1"/>
      <c r="N5" s="8">
        <f>(L5+L$7)*365/12+N7</f>
        <v>955.91666666666663</v>
      </c>
      <c r="O5" s="1"/>
      <c r="P5" s="12">
        <f>G25-N5</f>
        <v>-64.908000000000015</v>
      </c>
    </row>
    <row r="6" spans="1:16">
      <c r="B6" t="s">
        <v>10</v>
      </c>
      <c r="C6" s="4">
        <f>Analysis!H6</f>
        <v>2</v>
      </c>
      <c r="D6" s="4">
        <f>Analysis!H7</f>
        <v>3</v>
      </c>
      <c r="E6" s="4">
        <f>Analysis!H8</f>
        <v>0.5</v>
      </c>
      <c r="G6" s="8">
        <f>2*C6*D6*E6*52/12</f>
        <v>26</v>
      </c>
      <c r="J6" s="1"/>
      <c r="K6" s="1"/>
      <c r="L6" s="1"/>
      <c r="M6" s="1"/>
      <c r="N6" s="1" t="s">
        <v>49</v>
      </c>
      <c r="O6" s="1"/>
      <c r="P6" s="1"/>
    </row>
    <row r="7" spans="1:16">
      <c r="C7" t="s">
        <v>11</v>
      </c>
      <c r="D7" t="s">
        <v>13</v>
      </c>
      <c r="E7" t="s">
        <v>12</v>
      </c>
      <c r="F7" t="s">
        <v>15</v>
      </c>
      <c r="G7" s="8"/>
      <c r="J7" s="1" t="s">
        <v>31</v>
      </c>
      <c r="K7" s="1"/>
      <c r="L7" s="5">
        <f>Analysis!H23</f>
        <v>3</v>
      </c>
      <c r="M7" s="1"/>
      <c r="N7" s="8">
        <f>Analysis!H24*Analysis!H7*Analysis!H8*104/12</f>
        <v>13</v>
      </c>
      <c r="O7" s="1"/>
      <c r="P7" s="1"/>
    </row>
    <row r="8" spans="1:16">
      <c r="B8" t="s">
        <v>14</v>
      </c>
      <c r="C8" s="4">
        <f>Analysis!H9</f>
        <v>2</v>
      </c>
      <c r="F8" s="4">
        <f>Analysis!H10</f>
        <v>15</v>
      </c>
      <c r="G8" s="7">
        <f>+(F8*C8*52/12)</f>
        <v>130</v>
      </c>
      <c r="J8" s="1"/>
      <c r="K8" s="1"/>
      <c r="L8" s="1"/>
      <c r="M8" s="1"/>
      <c r="N8" s="1"/>
      <c r="O8" s="1"/>
      <c r="P8" s="1"/>
    </row>
    <row r="9" spans="1:16">
      <c r="B9" t="s">
        <v>49</v>
      </c>
      <c r="C9" s="20"/>
      <c r="D9" s="4">
        <f>Analysis!H11</f>
        <v>3</v>
      </c>
      <c r="E9" s="4">
        <f>E6</f>
        <v>0.5</v>
      </c>
      <c r="G9" s="8">
        <f>(2*C8*D9*E9*52/12)</f>
        <v>26</v>
      </c>
      <c r="J9" s="1"/>
      <c r="K9" s="1"/>
      <c r="L9" s="1"/>
      <c r="M9" s="1"/>
      <c r="N9" s="1"/>
      <c r="O9" s="1"/>
      <c r="P9" s="1"/>
    </row>
    <row r="10" spans="1:16">
      <c r="C10" t="s">
        <v>11</v>
      </c>
      <c r="D10" t="s">
        <v>13</v>
      </c>
      <c r="E10" t="s">
        <v>12</v>
      </c>
      <c r="F10" t="s">
        <v>15</v>
      </c>
      <c r="G10" s="8"/>
      <c r="J10" s="1" t="s">
        <v>74</v>
      </c>
      <c r="K10" s="1"/>
      <c r="L10" s="1"/>
      <c r="M10" s="1"/>
      <c r="N10" s="1"/>
      <c r="O10" s="1" t="s">
        <v>4</v>
      </c>
      <c r="P10" s="1"/>
    </row>
    <row r="11" spans="1:16">
      <c r="B11" t="s">
        <v>16</v>
      </c>
      <c r="C11" s="4">
        <f>Analysis!H12</f>
        <v>5</v>
      </c>
      <c r="F11" s="4">
        <f>Analysis!H13</f>
        <v>7</v>
      </c>
      <c r="G11" s="7">
        <f>+(F11*C11*52/12)</f>
        <v>151.66666666666666</v>
      </c>
      <c r="M11" s="1"/>
      <c r="N11" s="1" t="s">
        <v>2</v>
      </c>
      <c r="O11" s="1">
        <f>1474/12</f>
        <v>122.83333333333333</v>
      </c>
      <c r="P11" s="1"/>
    </row>
    <row r="12" spans="1:16">
      <c r="B12" t="s">
        <v>49</v>
      </c>
      <c r="C12" s="20"/>
      <c r="D12" s="4">
        <f>Analysis!H14</f>
        <v>0</v>
      </c>
      <c r="E12" s="4">
        <f>E9</f>
        <v>0.5</v>
      </c>
      <c r="G12" s="8">
        <f>(2*C11*D12*E12*52/12)</f>
        <v>0</v>
      </c>
      <c r="J12" s="20" t="s">
        <v>59</v>
      </c>
      <c r="K12" s="20"/>
      <c r="L12">
        <f>(Analysis!H6)*Analysis!H17*52/720</f>
        <v>6.5</v>
      </c>
      <c r="M12" s="1"/>
      <c r="N12" t="s">
        <v>21</v>
      </c>
      <c r="O12" s="18">
        <f>Analysis!H16/12</f>
        <v>25</v>
      </c>
      <c r="P12" s="1"/>
    </row>
    <row r="13" spans="1:16" ht="15.75" thickBot="1">
      <c r="G13" s="8"/>
      <c r="J13" s="20" t="s">
        <v>60</v>
      </c>
      <c r="K13" s="20"/>
      <c r="L13">
        <f>Analysis!H18*(21-Analysis!H12-Analysis!H9)*52/720</f>
        <v>15.166666666666666</v>
      </c>
      <c r="M13" s="1"/>
      <c r="N13" s="1" t="s">
        <v>3</v>
      </c>
      <c r="O13" s="1">
        <f>1855/12</f>
        <v>154.58333333333334</v>
      </c>
      <c r="P13" s="1"/>
    </row>
    <row r="14" spans="1:16" ht="15.75" thickBot="1">
      <c r="D14" s="14" t="s">
        <v>18</v>
      </c>
      <c r="E14" s="15"/>
      <c r="F14" s="15"/>
      <c r="G14" s="16">
        <f>SUM(G2:G12)</f>
        <v>588.59199999999998</v>
      </c>
      <c r="J14" s="20" t="s">
        <v>14</v>
      </c>
      <c r="K14" s="20"/>
      <c r="L14">
        <f>Analysis!H9*Analysis!H19*52/720</f>
        <v>6.5</v>
      </c>
      <c r="N14" s="3" t="s">
        <v>5</v>
      </c>
      <c r="O14" s="3">
        <f>SUM(O11:O13)</f>
        <v>302.41666666666663</v>
      </c>
    </row>
    <row r="15" spans="1:16">
      <c r="G15" s="8"/>
      <c r="J15" s="20" t="s">
        <v>61</v>
      </c>
      <c r="L15">
        <f>Analysis!H20*Analysis!H12*52/720</f>
        <v>5.416666666666667</v>
      </c>
      <c r="N15" s="1"/>
      <c r="O15" s="1"/>
    </row>
    <row r="16" spans="1:16">
      <c r="D16" t="s">
        <v>20</v>
      </c>
      <c r="G16" s="8"/>
      <c r="M16">
        <f>SUM(L12:L15)</f>
        <v>33.583333333333329</v>
      </c>
      <c r="N16" s="1" t="s">
        <v>6</v>
      </c>
      <c r="O16" s="2">
        <f>O14/12</f>
        <v>25.201388888888886</v>
      </c>
    </row>
    <row r="17" spans="1:13">
      <c r="B17" t="s">
        <v>24</v>
      </c>
      <c r="D17" s="5">
        <v>1474</v>
      </c>
      <c r="G17" s="8">
        <f>D17/12</f>
        <v>122.83333333333333</v>
      </c>
      <c r="J17" s="1" t="s">
        <v>73</v>
      </c>
    </row>
    <row r="18" spans="1:13">
      <c r="D18" s="1"/>
      <c r="G18" s="8"/>
    </row>
    <row r="19" spans="1:13">
      <c r="B19" t="s">
        <v>21</v>
      </c>
      <c r="D19" s="5">
        <v>300</v>
      </c>
      <c r="G19" s="8">
        <f t="shared" ref="G19:G21" si="0">D19/12</f>
        <v>25</v>
      </c>
      <c r="J19" s="20" t="s">
        <v>59</v>
      </c>
      <c r="L19">
        <f>Analysis!H24*Analysis!H17*52/720</f>
        <v>3.25</v>
      </c>
    </row>
    <row r="20" spans="1:13">
      <c r="D20" s="1"/>
      <c r="G20" s="8"/>
      <c r="J20" s="20" t="s">
        <v>60</v>
      </c>
      <c r="L20">
        <f>Analysis!H18*7*52/720</f>
        <v>7.583333333333333</v>
      </c>
    </row>
    <row r="21" spans="1:13">
      <c r="B21" t="s">
        <v>23</v>
      </c>
      <c r="D21" s="5">
        <v>1855</v>
      </c>
      <c r="G21" s="8">
        <f t="shared" si="0"/>
        <v>154.58333333333334</v>
      </c>
      <c r="J21" s="20" t="s">
        <v>75</v>
      </c>
      <c r="L21">
        <f>14*2*52/720</f>
        <v>2.0222222222222221</v>
      </c>
    </row>
    <row r="22" spans="1:13" ht="15.75" thickBot="1">
      <c r="G22" s="8"/>
      <c r="M22">
        <f>SUM(L19:L21)</f>
        <v>12.855555555555554</v>
      </c>
    </row>
    <row r="23" spans="1:13" ht="15.75" thickBot="1">
      <c r="D23" s="14" t="s">
        <v>18</v>
      </c>
      <c r="E23" s="15"/>
      <c r="F23" s="15"/>
      <c r="G23" s="16">
        <f>SUM(G17:G21)</f>
        <v>302.41666666666663</v>
      </c>
    </row>
    <row r="24" spans="1:13" ht="15.75" thickBot="1">
      <c r="G24" s="8"/>
      <c r="L24">
        <f>SUM(L12:L16)-SUM(L19:L21)</f>
        <v>20.727777777777774</v>
      </c>
    </row>
    <row r="25" spans="1:13" ht="15.75" thickBot="1">
      <c r="B25" s="14" t="s">
        <v>22</v>
      </c>
      <c r="C25" s="15"/>
      <c r="D25" s="15"/>
      <c r="E25" s="15"/>
      <c r="F25" s="15"/>
      <c r="G25" s="16">
        <f>G14+G23</f>
        <v>891.00866666666661</v>
      </c>
    </row>
    <row r="26" spans="1:13">
      <c r="A26" t="s">
        <v>25</v>
      </c>
    </row>
    <row r="27" spans="1:13">
      <c r="A27" t="s">
        <v>26</v>
      </c>
    </row>
  </sheetData>
  <sheetProtection password="CD65"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Analysis</vt:lpstr>
      <vt:lpstr>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k</dc:creator>
  <cp:lastModifiedBy>s k</cp:lastModifiedBy>
  <dcterms:created xsi:type="dcterms:W3CDTF">2015-11-26T20:43:36Z</dcterms:created>
  <dcterms:modified xsi:type="dcterms:W3CDTF">2015-11-28T18:22:19Z</dcterms:modified>
</cp:coreProperties>
</file>